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brkenergy-my.sharepoint.com/personal/clint_lundmark_pacificorp_com/Documents/AEM/Internet/Calculators/CARE Calculator/"/>
    </mc:Choice>
  </mc:AlternateContent>
  <xr:revisionPtr revIDLastSave="0" documentId="8_{1F57B676-D07D-4983-BB5F-E65AE34C0F32}" xr6:coauthVersionLast="47" xr6:coauthVersionMax="47" xr10:uidLastSave="{00000000-0000-0000-0000-000000000000}"/>
  <workbookProtection workbookAlgorithmName="SHA-512" workbookHashValue="thawWkGPmgJ6KIW5yWrjrNMGsxefiL5W6+U7iuU1sQ5g82RP1HRPPIs6uchmB6xIxuVTCNPovL9Eb33PnJ7woA==" workbookSaltValue="0KFalDmJgU/k4oo/ANsFXQ==" workbookSpinCount="100000" lockStructure="1"/>
  <bookViews>
    <workbookView xWindow="5460" yWindow="510" windowWidth="21510" windowHeight="14925" xr2:uid="{00000000-000D-0000-FFFF-FFFF00000000}"/>
  </bookViews>
  <sheets>
    <sheet name="Calculator" sheetId="1" r:id="rId1"/>
    <sheet name="Days" sheetId="6" state="hidden" r:id="rId2"/>
    <sheet name="Data" sheetId="2" state="hidden" r:id="rId3"/>
    <sheet name="Variables" sheetId="4" state="hidden" r:id="rId4"/>
    <sheet name="Info" sheetId="3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3" i="6"/>
  <c r="A3" i="6"/>
  <c r="E31" i="1"/>
  <c r="E28" i="1"/>
  <c r="E24" i="1" a="1"/>
  <c r="E24" i="1" s="1"/>
  <c r="E16" i="2"/>
  <c r="E15" i="2"/>
  <c r="D16" i="2"/>
  <c r="D15" i="2"/>
  <c r="B16" i="2"/>
  <c r="C16" i="2"/>
  <c r="B15" i="2"/>
  <c r="C15" i="2"/>
  <c r="D18" i="1" s="1"/>
  <c r="D34" i="1"/>
  <c r="D30" i="1"/>
  <c r="D29" i="1"/>
  <c r="D26" i="1"/>
  <c r="D25" i="1"/>
  <c r="C18" i="1"/>
  <c r="M3" i="6"/>
  <c r="H3" i="6"/>
  <c r="K3" i="6"/>
  <c r="C3" i="6"/>
  <c r="J3" i="6"/>
  <c r="D3" i="6"/>
  <c r="L3" i="6"/>
  <c r="F3" i="6"/>
  <c r="N3" i="6"/>
  <c r="I3" i="6"/>
  <c r="G3" i="6"/>
  <c r="E3" i="6"/>
  <c r="R3" i="6" l="1"/>
  <c r="O3" i="6"/>
  <c r="D7" i="1" s="1"/>
  <c r="P3" i="6"/>
  <c r="C34" i="1"/>
  <c r="C17" i="1" l="1"/>
  <c r="C19" i="1" s="1"/>
  <c r="S3" i="6"/>
  <c r="Q3" i="6"/>
  <c r="E34" i="1"/>
  <c r="C30" i="1"/>
  <c r="C29" i="1"/>
  <c r="D17" i="1" l="1"/>
  <c r="D19" i="1" s="1"/>
  <c r="E19" i="1" s="1"/>
  <c r="E29" i="1"/>
  <c r="E30" i="1"/>
  <c r="E17" i="1" l="1"/>
  <c r="C25" i="1"/>
  <c r="E25" i="1" s="1"/>
  <c r="C26" i="1" l="1"/>
  <c r="E26" i="1" s="1"/>
  <c r="E32" i="1" l="1"/>
  <c r="E33" i="1" s="1"/>
  <c r="E3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<sst xmlns="http://schemas.openxmlformats.org/spreadsheetml/2006/main" count="107" uniqueCount="95">
  <si>
    <t>CARE Calculator</t>
  </si>
  <si>
    <t xml:space="preserve">Prior Meter Read Date </t>
  </si>
  <si>
    <t xml:space="preserve">Prior Meter Reading </t>
  </si>
  <si>
    <t xml:space="preserve">Current Meter Read Date </t>
  </si>
  <si>
    <t xml:space="preserve">Days: </t>
  </si>
  <si>
    <t xml:space="preserve">Current Meter Reading </t>
  </si>
  <si>
    <t xml:space="preserve">kWh: </t>
  </si>
  <si>
    <t xml:space="preserve">County </t>
  </si>
  <si>
    <t>Del Norte</t>
  </si>
  <si>
    <t xml:space="preserve">Tenant Primary Heat Source </t>
  </si>
  <si>
    <t>Permanently Installed Electric Space Heating</t>
  </si>
  <si>
    <t xml:space="preserve">CARE Eligibility </t>
  </si>
  <si>
    <t>CARE</t>
  </si>
  <si>
    <t>Baseline Calculation</t>
  </si>
  <si>
    <t>Item</t>
  </si>
  <si>
    <t>Summer</t>
  </si>
  <si>
    <t>Winter</t>
  </si>
  <si>
    <t>Total</t>
  </si>
  <si>
    <t>Days</t>
  </si>
  <si>
    <t>Baseline kWH/Day</t>
  </si>
  <si>
    <t>Baseline Allowance</t>
  </si>
  <si>
    <t>Computation of Charges*</t>
  </si>
  <si>
    <t>kWh</t>
  </si>
  <si>
    <t>Cost per unit</t>
  </si>
  <si>
    <t>Charges</t>
  </si>
  <si>
    <t>Base Services Charge, Multi-Family</t>
  </si>
  <si>
    <t>Baseline</t>
  </si>
  <si>
    <t>Non Baseline</t>
  </si>
  <si>
    <t>Adjustments</t>
  </si>
  <si>
    <t>Monthly Adjustment Charge</t>
  </si>
  <si>
    <t>CPUC Surcharge</t>
  </si>
  <si>
    <t>Carbon Pollution Permit Cost</t>
  </si>
  <si>
    <t>Low Income Assistance Charge</t>
  </si>
  <si>
    <t>Care Credit DL-6</t>
  </si>
  <si>
    <t>Subtotal</t>
  </si>
  <si>
    <t>State Energy Resource Tax</t>
  </si>
  <si>
    <t>TOTAL</t>
  </si>
  <si>
    <t>*Rates may be prorated based on a rate change during the billing period. Rates used in this calculator valid for meter reading dates after July 10, 2026.</t>
  </si>
  <si>
    <t>Note: In 2026, the California Climate Credit will be $111.83 applied in the months of April and November.</t>
  </si>
  <si>
    <t>Start</t>
  </si>
  <si>
    <t>End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</si>
  <si>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</si>
  <si>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</si>
  <si>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</si>
  <si>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</si>
  <si>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</si>
  <si>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</si>
  <si>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</si>
  <si>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</si>
  <si>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</si>
  <si>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</si>
  <si>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</si>
  <si>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</si>
  <si>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</t>
  </si>
  <si>
    <t>Sum</t>
  </si>
  <si>
    <t>Win</t>
  </si>
  <si>
    <t>CARE Eligible?</t>
  </si>
  <si>
    <t>CARE-Plus</t>
  </si>
  <si>
    <t>Non-Care</t>
  </si>
  <si>
    <t>Counties</t>
  </si>
  <si>
    <t>Modoc</t>
  </si>
  <si>
    <t>Shasta</t>
  </si>
  <si>
    <t>Siskiyou</t>
  </si>
  <si>
    <t>Heat Source</t>
  </si>
  <si>
    <t>Basic Use and Electric Water Heater</t>
  </si>
  <si>
    <t>Variable</t>
  </si>
  <si>
    <t>Amount</t>
  </si>
  <si>
    <t>baselineCostPer</t>
  </si>
  <si>
    <t>cpucCostPer</t>
  </si>
  <si>
    <t>carbonCostPer</t>
  </si>
  <si>
    <t>lowIncomeAssistance</t>
  </si>
  <si>
    <t>taxCostPer</t>
  </si>
  <si>
    <t>discountPercentage</t>
  </si>
  <si>
    <t>nonBaselineCostPer</t>
  </si>
  <si>
    <t>basicChargeCARE</t>
  </si>
  <si>
    <t>basicChargeCAREPlus</t>
  </si>
  <si>
    <t>basicChargeNonCare</t>
  </si>
  <si>
    <t>monthlyAdjustment</t>
  </si>
  <si>
    <t>baselineDelNorteBasicUseWinter</t>
  </si>
  <si>
    <t>baselineDelNorteBasicUseSummer</t>
  </si>
  <si>
    <t>baselineDelNorteSpaceHeatWinter</t>
  </si>
  <si>
    <t>baselineDelNorteSpaceHeatSummer</t>
  </si>
  <si>
    <t>baselineNonDelNorteBasicUseWinter</t>
  </si>
  <si>
    <t>baselineNonDelNorteBasicUseSummer</t>
  </si>
  <si>
    <t>baselineNonDelNorteSpaceHeatWinter</t>
  </si>
  <si>
    <t>baselineNonDelNorteSpaceHeatSummer</t>
  </si>
  <si>
    <t>Updated:</t>
  </si>
  <si>
    <t>Information</t>
  </si>
  <si>
    <t>This workbook shows how the CARE Calculator works.</t>
  </si>
  <si>
    <t>Notes:</t>
  </si>
  <si>
    <t>Dark outline indicates something the site visitor would enter using the calculator on the site.</t>
  </si>
  <si>
    <t>The bottom 2/3 of the Calculator tab represent the results shown to a site visitor.</t>
  </si>
  <si>
    <t>Blue font is a formula.</t>
  </si>
  <si>
    <t>The two rows to the far right are a visual way to determine how many days are in each month and how many days are Summer vs Winter.</t>
  </si>
  <si>
    <t>The javascript calculations in the AEM component are based off of the formulas in the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</si>
</sst>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mmmm\ d\,\ yyyy;@"/>
    <numFmt numFmtId="165" formatCode="&quot;$&quot;#,##0.00"/>
    <numFmt numFmtId="166" formatCode="0.0"/>
    <numFmt numFmtId="167" formatCode="mm/dd/yy;@"/>
    <numFmt numFmtId="168" formatCode="#,##0.000000"/>
    <numFmt numFmtId="169" formatCode="&quot;$&quot;#,##0.0000000000"/>
    <numFmt numFmtId="170" formatCode="0.00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6" fontId="2" fillId="0" borderId="0" xfId="0" applyNumberFormat="1" applyFont="1" applyAlignment="1">
      <alignment horizontal="center"/>
    </xf>
    <xf numFmtId="170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2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" fontId="0" fillId="0" borderId="2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167" fontId="2" fillId="0" borderId="0" xfId="0" applyNumberFormat="1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0" xfId="0" applyFont="1" applyAlignment="1">
      <alignment horizontal="right"/>
    </xf>
    <xf numFmtId="0" fontId="1" fillId="3" borderId="14" xfId="0" applyFont="1" applyFill="1" applyBorder="1" applyAlignment="1">
      <alignment horizontal="right"/>
    </xf>
    <xf numFmtId="0" fontId="0" fillId="0" borderId="6" xfId="0" applyBorder="1"/>
    <xf numFmtId="0" fontId="2" fillId="0" borderId="0" xfId="0" applyFont="1"/>
    <xf numFmtId="0" fontId="1" fillId="3" borderId="14" xfId="0" applyFont="1" applyFill="1" applyBorder="1"/>
    <xf numFmtId="0" fontId="4" fillId="3" borderId="14" xfId="0" applyFont="1" applyFill="1" applyBorder="1"/>
    <xf numFmtId="0" fontId="2" fillId="0" borderId="7" xfId="0" applyFont="1" applyBorder="1"/>
    <xf numFmtId="0" fontId="3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170" fontId="2" fillId="0" borderId="0" xfId="0" applyNumberFormat="1" applyFont="1"/>
    <xf numFmtId="165" fontId="2" fillId="0" borderId="7" xfId="0" applyNumberFormat="1" applyFont="1" applyBorder="1"/>
    <xf numFmtId="168" fontId="2" fillId="0" borderId="0" xfId="0" applyNumberFormat="1" applyFont="1"/>
    <xf numFmtId="0" fontId="1" fillId="2" borderId="6" xfId="0" applyFont="1" applyFill="1" applyBorder="1"/>
    <xf numFmtId="170" fontId="0" fillId="2" borderId="0" xfId="0" applyNumberFormat="1" applyFill="1"/>
    <xf numFmtId="165" fontId="0" fillId="2" borderId="7" xfId="0" applyNumberFormat="1" applyFill="1" applyBorder="1"/>
    <xf numFmtId="169" fontId="0" fillId="0" borderId="0" xfId="0" applyNumberFormat="1"/>
    <xf numFmtId="165" fontId="2" fillId="0" borderId="0" xfId="0" applyNumberFormat="1" applyFont="1"/>
    <xf numFmtId="9" fontId="2" fillId="0" borderId="0" xfId="0" applyNumberFormat="1" applyFont="1"/>
    <xf numFmtId="165" fontId="4" fillId="2" borderId="7" xfId="0" applyNumberFormat="1" applyFont="1" applyFill="1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7" xfId="0" applyFont="1" applyBorder="1"/>
    <xf numFmtId="0" fontId="3" fillId="0" borderId="0" xfId="0" applyFont="1"/>
    <xf numFmtId="14" fontId="0" fillId="0" borderId="0" xfId="0" applyNumberFormat="1" applyProtection="1">
      <protection locked="0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zoomScale="90" zoomScaleNormal="90" workbookViewId="0">
      <selection activeCell="B5" sqref="B5"/>
    </sheetView>
  </sheetViews>
  <sheetFormatPr defaultRowHeight="15"/>
  <cols>
    <col min="1" max="1" width="25.7109375" customWidth="1"/>
    <col min="2" max="2" width="41.28515625" bestFit="1" customWidth="1"/>
    <col min="3" max="5" width="12.7109375" customWidth="1"/>
    <col min="6" max="6" width="8.7109375" customWidth="1"/>
    <col min="7" max="7" width="8.5703125" customWidth="1"/>
    <col min="8" max="24" width="5.7109375" customWidth="1"/>
  </cols>
  <sheetData>
    <row r="1" spans="1:5" ht="18.75">
      <c r="A1" s="48" t="s">
        <v>0</v>
      </c>
    </row>
    <row r="2" spans="1:5">
      <c r="A2" s="4"/>
      <c r="B2" s="16"/>
    </row>
    <row r="3" spans="1:5">
      <c r="B3" s="16"/>
    </row>
    <row r="4" spans="1:5" ht="15.75" thickBot="1">
      <c r="B4" s="16"/>
    </row>
    <row r="5" spans="1:5" ht="24.95" customHeight="1" thickBot="1">
      <c r="A5" s="17" t="s">
        <v>1</v>
      </c>
      <c r="B5" s="10">
        <v>46174</v>
      </c>
    </row>
    <row r="6" spans="1:5" ht="24.95" customHeight="1" thickBot="1">
      <c r="A6" s="17" t="s">
        <v>2</v>
      </c>
      <c r="B6" s="12">
        <v>1</v>
      </c>
    </row>
    <row r="7" spans="1:5" ht="24.95" customHeight="1" thickBot="1">
      <c r="A7" s="17" t="s">
        <v>3</v>
      </c>
      <c r="B7" s="10">
        <v>46175</v>
      </c>
      <c r="C7" s="17" t="s">
        <v>4</v>
      </c>
      <c r="D7" s="18">
        <f ca="1">Days!O3</f>
        <v>1</v>
      </c>
    </row>
    <row r="8" spans="1:5" ht="24.95" customHeight="1" thickBot="1">
      <c r="A8" s="17" t="s">
        <v>5</v>
      </c>
      <c r="B8" s="12">
        <v>2</v>
      </c>
      <c r="C8" s="17" t="s">
        <v>6</v>
      </c>
      <c r="D8" s="18">
        <f>B8-B6</f>
        <v>1</v>
      </c>
    </row>
    <row r="9" spans="1:5" ht="24.95" customHeight="1" thickBot="1">
      <c r="A9" s="17" t="s">
        <v>7</v>
      </c>
      <c r="B9" s="11" t="s">
        <v>8</v>
      </c>
    </row>
    <row r="10" spans="1:5" ht="24.95" customHeight="1" thickBot="1">
      <c r="A10" s="17" t="s">
        <v>9</v>
      </c>
      <c r="B10" s="11" t="s">
        <v>10</v>
      </c>
    </row>
    <row r="11" spans="1:5" ht="24.95" customHeight="1" thickBot="1">
      <c r="A11" s="17" t="s">
        <v>11</v>
      </c>
      <c r="B11" s="11" t="s">
        <v>12</v>
      </c>
    </row>
    <row r="15" spans="1:5" ht="18.75">
      <c r="B15" s="19" t="s">
        <v>13</v>
      </c>
      <c r="C15" s="20"/>
      <c r="D15" s="20"/>
      <c r="E15" s="21"/>
    </row>
    <row r="16" spans="1:5">
      <c r="B16" s="22" t="s">
        <v>14</v>
      </c>
      <c r="C16" s="23" t="s">
        <v>15</v>
      </c>
      <c r="D16" s="23" t="s">
        <v>16</v>
      </c>
      <c r="E16" s="24" t="s">
        <v>17</v>
      </c>
    </row>
    <row r="17" spans="2:8">
      <c r="B17" s="25" t="s">
        <v>18</v>
      </c>
      <c r="C17" s="26">
        <f ca="1">IF(B9="Del Norte",Days!R3,Days!P3)</f>
        <v>1</v>
      </c>
      <c r="D17" s="26">
        <f ca="1">IF(B9="Del Norte",Days!S3,Days!Q3)</f>
        <v>0</v>
      </c>
      <c r="E17" s="47">
        <f ca="1">SUM(C17:D17)</f>
        <v>1</v>
      </c>
    </row>
    <row r="18" spans="2:8">
      <c r="B18" s="25" t="s">
        <v>19</v>
      </c>
      <c r="C18" s="26">
        <f>IF(B10=Data!A15,IF(B9="Del Norte",Data!D15,Data!B15),IF(B9="Del Norte",Data!D16,Data!B16))</f>
        <v>17.7</v>
      </c>
      <c r="D18" s="26">
        <f>IF(B10=Data!A15,IF(B9="Del Norte",Data!E15,Data!C15),IF(B9="Del Norte",Data!E16,Data!C16))</f>
        <v>32.5</v>
      </c>
      <c r="E18" s="27"/>
    </row>
    <row r="19" spans="2:8">
      <c r="B19" s="25" t="s">
        <v>20</v>
      </c>
      <c r="C19" s="26">
        <f ca="1">ROUNDDOWN(C18*C17,0)</f>
        <v>17</v>
      </c>
      <c r="D19" s="26">
        <f ca="1">ROUNDDOWN(D18*D17,0)</f>
        <v>0</v>
      </c>
      <c r="E19" s="28">
        <f ca="1">D19+C19</f>
        <v>17</v>
      </c>
    </row>
    <row r="20" spans="2:8">
      <c r="B20" s="25"/>
      <c r="D20" s="26"/>
      <c r="E20" s="29"/>
    </row>
    <row r="21" spans="2:8">
      <c r="B21" s="25"/>
      <c r="D21" s="26"/>
      <c r="E21" s="29"/>
    </row>
    <row r="22" spans="2:8" ht="18.75">
      <c r="B22" s="30" t="s">
        <v>21</v>
      </c>
      <c r="D22" s="26"/>
      <c r="E22" s="29"/>
    </row>
    <row r="23" spans="2:8">
      <c r="B23" s="31" t="s">
        <v>14</v>
      </c>
      <c r="C23" s="23" t="s">
        <v>22</v>
      </c>
      <c r="D23" s="23" t="s">
        <v>23</v>
      </c>
      <c r="E23" s="32" t="s">
        <v>24</v>
      </c>
    </row>
    <row r="24" spans="2:8">
      <c r="B24" s="25" t="s">
        <v>25</v>
      </c>
      <c r="C24" s="26"/>
      <c r="D24" s="33"/>
      <c r="E24" s="34" cm="1">
        <f t="array" ref="E24">_xlfn.IFS(B11="CARE",Variables!B9,B11="CARE-Plus",Variables!B10,B11="Non-CARE",Variables!B11)</f>
        <v>8.0399999999999991</v>
      </c>
    </row>
    <row r="25" spans="2:8">
      <c r="B25" s="25" t="s">
        <v>26</v>
      </c>
      <c r="C25" s="26">
        <f ca="1">IF(E19&gt;D8,D8,E19)</f>
        <v>1</v>
      </c>
      <c r="D25" s="33">
        <f>Variables!B2</f>
        <v>0.18895000000000001</v>
      </c>
      <c r="E25" s="34">
        <f ca="1">ROUND(C25*D25,2)</f>
        <v>0.19</v>
      </c>
      <c r="F25" s="26"/>
      <c r="H25" s="35"/>
    </row>
    <row r="26" spans="2:8">
      <c r="B26" s="25" t="s">
        <v>27</v>
      </c>
      <c r="C26" s="26">
        <f ca="1">IF(D8-C25&gt;0,D8-C25,0)</f>
        <v>0</v>
      </c>
      <c r="D26" s="33">
        <f>Variables!B8</f>
        <v>0.21770999999999999</v>
      </c>
      <c r="E26" s="34">
        <f ca="1">ROUND(C26*D26,2)</f>
        <v>0</v>
      </c>
    </row>
    <row r="27" spans="2:8">
      <c r="B27" s="36" t="s">
        <v>28</v>
      </c>
      <c r="C27" s="1"/>
      <c r="D27" s="37"/>
      <c r="E27" s="38"/>
    </row>
    <row r="28" spans="2:8">
      <c r="B28" s="25" t="s">
        <v>29</v>
      </c>
      <c r="C28" s="26"/>
      <c r="D28" s="33"/>
      <c r="E28" s="34">
        <f>Variables!B12</f>
        <v>14.11</v>
      </c>
    </row>
    <row r="29" spans="2:8">
      <c r="B29" s="25" t="s">
        <v>30</v>
      </c>
      <c r="C29" s="26">
        <f>$D$8</f>
        <v>1</v>
      </c>
      <c r="D29" s="33">
        <f>Variables!B3</f>
        <v>1E-3</v>
      </c>
      <c r="E29" s="34">
        <f t="shared" ref="E29:E34" si="0">ROUND(C29*D29,2)</f>
        <v>0</v>
      </c>
    </row>
    <row r="30" spans="2:8">
      <c r="B30" s="25" t="s">
        <v>31</v>
      </c>
      <c r="C30" s="26">
        <f>$D$8</f>
        <v>1</v>
      </c>
      <c r="D30" s="33">
        <f>Variables!B4</f>
        <v>1.221E-2</v>
      </c>
      <c r="E30" s="34">
        <f t="shared" si="0"/>
        <v>0.01</v>
      </c>
    </row>
    <row r="31" spans="2:8">
      <c r="B31" s="25" t="s">
        <v>32</v>
      </c>
      <c r="C31" s="26"/>
      <c r="D31" s="33"/>
      <c r="E31" s="34">
        <f>IF(B11="Non-Care",Variables!B5,0)</f>
        <v>0</v>
      </c>
      <c r="F31" s="39"/>
    </row>
    <row r="32" spans="2:8">
      <c r="B32" s="25" t="s">
        <v>33</v>
      </c>
      <c r="C32" s="40"/>
      <c r="D32" s="41"/>
      <c r="E32" s="34">
        <f ca="1">ROUND(IF(B11&lt;&gt;"Non-CARE",SUM(E25:E30),0)*-Variables!B7,2)</f>
        <v>-3.58</v>
      </c>
    </row>
    <row r="33" spans="2:5">
      <c r="B33" s="36" t="s">
        <v>34</v>
      </c>
      <c r="C33" s="1"/>
      <c r="D33" s="1"/>
      <c r="E33" s="42">
        <f ca="1">SUM(E24:E32)</f>
        <v>18.769999999999996</v>
      </c>
    </row>
    <row r="34" spans="2:5">
      <c r="B34" s="25" t="s">
        <v>35</v>
      </c>
      <c r="C34" s="26">
        <f>$D$8</f>
        <v>1</v>
      </c>
      <c r="D34" s="26">
        <f>Variables!B6</f>
        <v>2.9999999999999997E-4</v>
      </c>
      <c r="E34" s="34">
        <f t="shared" si="0"/>
        <v>0</v>
      </c>
    </row>
    <row r="35" spans="2:5">
      <c r="B35" s="36" t="s">
        <v>36</v>
      </c>
      <c r="C35" s="1"/>
      <c r="D35" s="1"/>
      <c r="E35" s="42">
        <f ca="1">SUM(E33:E34)</f>
        <v>18.769999999999996</v>
      </c>
    </row>
    <row r="36" spans="2:5">
      <c r="B36" s="25"/>
      <c r="E36" s="43"/>
    </row>
    <row r="37" spans="2:5">
      <c r="B37" s="44"/>
      <c r="C37" s="45"/>
      <c r="D37" s="45"/>
      <c r="E37" s="46"/>
    </row>
    <row r="38" spans="2:5">
      <c r="B38" s="25"/>
      <c r="E38" s="43"/>
    </row>
    <row r="39" spans="2:5" ht="45" customHeight="1">
      <c r="B39" s="50" t="s">
        <v>37</v>
      </c>
      <c r="C39" s="51"/>
      <c r="D39" s="51"/>
      <c r="E39" s="52"/>
    </row>
    <row r="40" spans="2:5" ht="45" customHeight="1">
      <c r="B40" s="53" t="s">
        <v>38</v>
      </c>
      <c r="C40" s="54"/>
      <c r="D40" s="54"/>
      <c r="E40" s="55"/>
    </row>
  </sheetData>
  <sheetProtection algorithmName="SHA-512" hashValue="FqKVIWsHMMHD78w7qTqQD5pjlNTgoIhqGIADInnGWXPv/+W5/92SWylx3P32YmzsJbO69NIZyGY2OurNvFspgA==" saltValue="mua3sE6JGHmdORHNCZkInw==" spinCount="100000" sheet="1" objects="1" scenarios="1" selectLockedCells="1"/>
  <mergeCells count="2">
    <mergeCell ref="B39:E39"/>
    <mergeCell ref="B40:E40"/>
  </mergeCells>
  <dataValidations count="3">
    <dataValidation type="custom" allowBlank="1" showInputMessage="1" showErrorMessage="1" errorTitle="Date Range" error="Meter reading dates cannot be more than 60 days apart. Enter a valid date." sqref="B7" xr:uid="{11F91F43-3683-4F5B-9F27-FFFA62D09D0F}">
      <formula1>AND(ISNUMBER(B5), B7&gt;=B5, B7&lt;=B5+60)</formula1>
    </dataValidation>
    <dataValidation type="custom" allowBlank="1" showInputMessage="1" showErrorMessage="1" errorTitle="Meter Range" error="Current meter reading should be greater than Prior meter reading." sqref="B8" xr:uid="{689D6F23-A469-4486-A46D-824D114AF6C4}">
      <formula1>B8&gt;B6</formula1>
    </dataValidation>
    <dataValidation type="date" operator="greaterThan" allowBlank="1" showInputMessage="1" showErrorMessage="1" errorTitle="Date" error="Enter a valid date." sqref="B5" xr:uid="{83476B91-90F5-427D-93BB-A3B336EA5D31}">
      <formula1>1</formula1>
    </dataValidation>
  </dataValidations>
  <pageMargins left="0.7" right="0.7" top="0.75" bottom="0.75" header="0.3" footer="0.3"/>
  <pageSetup orientation="portrait" r:id="rId1"/>
  <ignoredErrors>
    <ignoredError sqref="E33 E31" 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County" error="Select a county." xr:uid="{00000000-0002-0000-0000-000001000000}">
          <x14:formula1>
            <xm:f>Data!$A$8:$A$11</xm:f>
          </x14:formula1>
          <xm:sqref>B9</xm:sqref>
        </x14:dataValidation>
        <x14:dataValidation type="list" allowBlank="1" showInputMessage="1" showErrorMessage="1" errorTitle="Heat Source" error="Select a heat source." xr:uid="{00000000-0002-0000-0000-000002000000}">
          <x14:formula1>
            <xm:f>Data!$A$15:$A$16</xm:f>
          </x14:formula1>
          <xm:sqref>B10</xm:sqref>
        </x14:dataValidation>
        <x14:dataValidation type="list" allowBlank="1" showInputMessage="1" showErrorMessage="1" errorTitle="Eligibility" error="Select the level of eligibility." xr:uid="{5E8074B5-305D-4B89-AEFB-A17AF271CB30}">
          <x14:formula1>
            <xm:f>Data!$A$3:$A$5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55CB-B444-4C1F-810E-B12E24225353}">
  <dimension ref="A1:S3"/>
  <sheetViews>
    <sheetView workbookViewId="0">
      <selection sqref="A1:XFD1048576"/>
    </sheetView>
  </sheetViews>
  <sheetFormatPr defaultRowHeight="15"/>
  <cols>
    <col min="3" max="19" width="5.7109375" customWidth="1"/>
  </cols>
  <sheetData>
    <row r="1" spans="1:19">
      <c r="R1" s="56" t="s">
        <v>8</v>
      </c>
      <c r="S1" s="56"/>
    </row>
    <row r="2" spans="1:19">
      <c r="A2" t="s">
        <v>39</v>
      </c>
      <c r="B2" t="s">
        <v>40</v>
      </c>
      <c r="C2" s="13" t="s">
        <v>41</v>
      </c>
      <c r="D2" s="13" t="s">
        <v>42</v>
      </c>
      <c r="E2" s="13" t="s">
        <v>43</v>
      </c>
      <c r="F2" s="13" t="s">
        <v>44</v>
      </c>
      <c r="G2" s="13" t="s">
        <v>45</v>
      </c>
      <c r="H2" s="13" t="s">
        <v>46</v>
      </c>
      <c r="I2" s="13" t="s">
        <v>47</v>
      </c>
      <c r="J2" s="13" t="s">
        <v>48</v>
      </c>
      <c r="K2" s="13" t="s">
        <v>49</v>
      </c>
      <c r="L2" s="13" t="s">
        <v>50</v>
      </c>
      <c r="M2" s="13" t="s">
        <v>51</v>
      </c>
      <c r="N2" s="13" t="s">
        <v>52</v>
      </c>
      <c r="O2" s="13" t="s">
        <v>53</v>
      </c>
      <c r="P2" s="13" t="s">
        <v>54</v>
      </c>
      <c r="Q2" s="13" t="s">
        <v>55</v>
      </c>
      <c r="R2" s="13" t="s">
        <v>54</v>
      </c>
      <c r="S2" s="13" t="s">
        <v>55</v>
      </c>
    </row>
    <row r="3" spans="1:19">
      <c r="A3" s="14">
        <f>Calculator!B5+1</f>
        <v>46175</v>
      </c>
      <c r="B3" s="14">
        <f>Calculator!B7</f>
        <v>46175</v>
      </c>
      <c r="C3" s="15">
        <f t="shared" ref="C3:N3" ca="1" si="0">SUMPRODUCT(--(TEXT(ROW(INDIRECT($A3 &amp; ":" &amp; $B3)),"mmm")=C$2))</f>
        <v>0</v>
      </c>
      <c r="D3" s="15">
        <f t="shared" ca="1" si="0"/>
        <v>0</v>
      </c>
      <c r="E3" s="15">
        <f t="shared" ca="1" si="0"/>
        <v>0</v>
      </c>
      <c r="F3" s="15">
        <f t="shared" ca="1" si="0"/>
        <v>0</v>
      </c>
      <c r="G3" s="15">
        <f t="shared" ca="1" si="0"/>
        <v>0</v>
      </c>
      <c r="H3" s="15">
        <f t="shared" ca="1" si="0"/>
        <v>1</v>
      </c>
      <c r="I3" s="15">
        <f t="shared" ca="1" si="0"/>
        <v>0</v>
      </c>
      <c r="J3" s="15">
        <f t="shared" ca="1" si="0"/>
        <v>0</v>
      </c>
      <c r="K3" s="15">
        <f t="shared" ca="1" si="0"/>
        <v>0</v>
      </c>
      <c r="L3" s="15">
        <f t="shared" ca="1" si="0"/>
        <v>0</v>
      </c>
      <c r="M3" s="15">
        <f t="shared" ca="1" si="0"/>
        <v>0</v>
      </c>
      <c r="N3" s="15">
        <f t="shared" ca="1" si="0"/>
        <v>0</v>
      </c>
      <c r="O3" s="15">
        <f ca="1">SUM(C3:N3)</f>
        <v>1</v>
      </c>
      <c r="P3" s="15">
        <f ca="1">SUM(G3:L3)</f>
        <v>1</v>
      </c>
      <c r="Q3" s="15">
        <f ca="1">O3-P3</f>
        <v>0</v>
      </c>
      <c r="R3" s="15">
        <f ca="1">SUM(H3:K3)</f>
        <v>1</v>
      </c>
      <c r="S3" s="15">
        <f ca="1">O3-R3</f>
        <v>0</v>
      </c>
    </row>
  </sheetData>
  <sheetProtection algorithmName="SHA-512" hashValue="KpK3YEP29eDHHmZxqaECgbqYEID+MbVegnxKaYVVvVH1cBs0rl5AndCmPfmVYC0LwgSmJuptjTeqiOJJjfHgVg==" saltValue="ZkTk/TRD1VFs+Tq8bvxQvg==" spinCount="100000" sheet="1" objects="1" scenarios="1" selectLockedCells="1"/>
  <mergeCells count="1">
    <mergeCell ref="R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6"/>
  <sheetViews>
    <sheetView workbookViewId="0"/>
  </sheetViews>
  <sheetFormatPr defaultRowHeight="15"/>
  <cols>
    <col min="1" max="1" width="41.28515625" bestFit="1" customWidth="1"/>
    <col min="2" max="4" width="15.7109375" customWidth="1"/>
  </cols>
  <sheetData>
    <row r="2" spans="1:5">
      <c r="A2" s="3" t="s">
        <v>56</v>
      </c>
      <c r="B2" s="1"/>
      <c r="C2" s="1"/>
      <c r="D2" s="1"/>
      <c r="E2" s="1"/>
    </row>
    <row r="3" spans="1:5">
      <c r="A3" t="s">
        <v>12</v>
      </c>
    </row>
    <row r="4" spans="1:5">
      <c r="A4" t="s">
        <v>57</v>
      </c>
    </row>
    <row r="5" spans="1:5">
      <c r="A5" t="s">
        <v>58</v>
      </c>
    </row>
    <row r="7" spans="1:5">
      <c r="A7" s="3" t="s">
        <v>59</v>
      </c>
      <c r="B7" s="3"/>
      <c r="C7" s="3"/>
      <c r="D7" s="3"/>
      <c r="E7" s="3"/>
    </row>
    <row r="8" spans="1:5">
      <c r="A8" t="s">
        <v>8</v>
      </c>
    </row>
    <row r="9" spans="1:5">
      <c r="A9" t="s">
        <v>60</v>
      </c>
    </row>
    <row r="10" spans="1:5">
      <c r="A10" t="s">
        <v>61</v>
      </c>
    </row>
    <row r="11" spans="1:5">
      <c r="A11" t="s">
        <v>62</v>
      </c>
    </row>
    <row r="13" spans="1:5">
      <c r="A13" s="3"/>
      <c r="B13" s="3"/>
      <c r="C13" s="3"/>
      <c r="D13" s="57" t="s">
        <v>8</v>
      </c>
      <c r="E13" s="57"/>
    </row>
    <row r="14" spans="1:5">
      <c r="A14" s="3" t="s">
        <v>63</v>
      </c>
      <c r="B14" s="2" t="s">
        <v>15</v>
      </c>
      <c r="C14" s="2" t="s">
        <v>16</v>
      </c>
      <c r="D14" s="2" t="s">
        <v>15</v>
      </c>
      <c r="E14" s="2" t="s">
        <v>16</v>
      </c>
    </row>
    <row r="15" spans="1:5">
      <c r="A15" t="s">
        <v>64</v>
      </c>
      <c r="B15" s="7">
        <f>Variables!B18</f>
        <v>16.100000000000001</v>
      </c>
      <c r="C15" s="7">
        <f>Variables!B17</f>
        <v>22.6</v>
      </c>
      <c r="D15" s="7">
        <f>Variables!B14</f>
        <v>17.2</v>
      </c>
      <c r="E15" s="7">
        <f>Variables!B13</f>
        <v>23.9</v>
      </c>
    </row>
    <row r="16" spans="1:5">
      <c r="A16" t="s">
        <v>10</v>
      </c>
      <c r="B16" s="7">
        <f>Variables!B20</f>
        <v>17.399999999999999</v>
      </c>
      <c r="C16" s="7">
        <f>Variables!B19</f>
        <v>34.4</v>
      </c>
      <c r="D16" s="7">
        <f>Variables!B16</f>
        <v>17.7</v>
      </c>
      <c r="E16" s="7">
        <f>Variables!B15</f>
        <v>32.5</v>
      </c>
    </row>
  </sheetData>
  <sheetProtection algorithmName="SHA-512" hashValue="YQTGAmdwq8AWrG2IvIS411vWVXLVdxLvJK9oUQRAWO7+DBp/ksXL1TTIJHV7iXu4dAMzS422IOEeUR6yUCJpsA==" saltValue="DR9XAQs/e19+9mL1ooFj2g==" spinCount="100000" sheet="1" objects="1" scenarios="1" selectLockedCells="1"/>
  <mergeCells count="1">
    <mergeCell ref="D13:E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0A81-9810-4C87-93E2-7FBB70BA807A}">
  <dimension ref="A1:B20"/>
  <sheetViews>
    <sheetView workbookViewId="0">
      <selection activeCell="B2" sqref="B2"/>
    </sheetView>
  </sheetViews>
  <sheetFormatPr defaultRowHeight="15"/>
  <cols>
    <col min="1" max="1" width="38.140625" bestFit="1" customWidth="1"/>
  </cols>
  <sheetData>
    <row r="1" spans="1:2">
      <c r="A1" s="4" t="s">
        <v>65</v>
      </c>
      <c r="B1" s="4" t="s">
        <v>66</v>
      </c>
    </row>
    <row r="2" spans="1:2">
      <c r="A2" t="s">
        <v>67</v>
      </c>
      <c r="B2" s="8">
        <v>0.18895000000000001</v>
      </c>
    </row>
    <row r="3" spans="1:2">
      <c r="A3" t="s">
        <v>68</v>
      </c>
      <c r="B3" s="8">
        <v>1E-3</v>
      </c>
    </row>
    <row r="4" spans="1:2">
      <c r="A4" t="s">
        <v>69</v>
      </c>
      <c r="B4" s="8">
        <v>1.221E-2</v>
      </c>
    </row>
    <row r="5" spans="1:2">
      <c r="A5" t="s">
        <v>70</v>
      </c>
      <c r="B5" s="8">
        <v>9.6199999999999992</v>
      </c>
    </row>
    <row r="6" spans="1:2">
      <c r="A6" t="s">
        <v>71</v>
      </c>
      <c r="B6" s="8">
        <v>2.9999999999999997E-4</v>
      </c>
    </row>
    <row r="7" spans="1:2">
      <c r="A7" t="s">
        <v>72</v>
      </c>
      <c r="B7" s="8">
        <v>0.25</v>
      </c>
    </row>
    <row r="8" spans="1:2">
      <c r="A8" t="s">
        <v>73</v>
      </c>
      <c r="B8" s="8">
        <v>0.21770999999999999</v>
      </c>
    </row>
    <row r="9" spans="1:2">
      <c r="A9" t="s">
        <v>74</v>
      </c>
      <c r="B9" s="9">
        <v>8.0399999999999991</v>
      </c>
    </row>
    <row r="10" spans="1:2">
      <c r="A10" t="s">
        <v>75</v>
      </c>
      <c r="B10" s="9">
        <v>2.99</v>
      </c>
    </row>
    <row r="11" spans="1:2">
      <c r="A11" t="s">
        <v>76</v>
      </c>
      <c r="B11" s="9">
        <v>15.77</v>
      </c>
    </row>
    <row r="12" spans="1:2">
      <c r="A12" t="s">
        <v>77</v>
      </c>
      <c r="B12" s="9">
        <v>14.11</v>
      </c>
    </row>
    <row r="13" spans="1:2">
      <c r="A13" t="s">
        <v>78</v>
      </c>
      <c r="B13" s="9">
        <v>23.9</v>
      </c>
    </row>
    <row r="14" spans="1:2">
      <c r="A14" t="s">
        <v>79</v>
      </c>
      <c r="B14" s="9">
        <v>17.2</v>
      </c>
    </row>
    <row r="15" spans="1:2">
      <c r="A15" t="s">
        <v>80</v>
      </c>
      <c r="B15" s="9">
        <v>32.5</v>
      </c>
    </row>
    <row r="16" spans="1:2">
      <c r="A16" t="s">
        <v>81</v>
      </c>
      <c r="B16" s="9">
        <v>17.7</v>
      </c>
    </row>
    <row r="17" spans="1:2">
      <c r="A17" t="s">
        <v>82</v>
      </c>
      <c r="B17" s="9">
        <v>22.6</v>
      </c>
    </row>
    <row r="18" spans="1:2">
      <c r="A18" t="s">
        <v>83</v>
      </c>
      <c r="B18" s="9">
        <v>16.100000000000001</v>
      </c>
    </row>
    <row r="19" spans="1:2">
      <c r="A19" t="s">
        <v>84</v>
      </c>
      <c r="B19" s="9">
        <v>34.4</v>
      </c>
    </row>
    <row r="20" spans="1:2">
      <c r="A20" t="s">
        <v>85</v>
      </c>
      <c r="B20" s="9">
        <v>17.399999999999999</v>
      </c>
    </row>
  </sheetData>
  <sheetProtection algorithmName="SHA-512" hashValue="sq5DsI7WcHWvMAnhmJdOFoYkP/A7GALop3XjDr5wPpOJwRgFazEgSWC8X0L4p2dHdpeSu/LyMgSquy/zhbMmNA==" saltValue="XJYIUoDYEhVixDvbv6fCbg==" spinCount="100000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3B24-D46B-4496-9964-133983896469}">
  <dimension ref="A1:C13"/>
  <sheetViews>
    <sheetView workbookViewId="0">
      <selection activeCell="C1" sqref="C1"/>
    </sheetView>
  </sheetViews>
  <sheetFormatPr defaultRowHeight="15"/>
  <cols>
    <col min="1" max="1" width="87.42578125" customWidth="1"/>
    <col min="3" max="3" width="9.7109375" bestFit="1" customWidth="1"/>
  </cols>
  <sheetData>
    <row r="1" spans="1:3">
      <c r="B1" s="4" t="s">
        <v>86</v>
      </c>
      <c r="C1" s="49">
        <v>46252</v>
      </c>
    </row>
    <row r="3" spans="1:3" ht="18.75">
      <c r="A3" s="48" t="s">
        <v>87</v>
      </c>
    </row>
    <row r="5" spans="1:3">
      <c r="A5" t="s">
        <v>88</v>
      </c>
    </row>
    <row r="8" spans="1:3">
      <c r="A8" s="6" t="s">
        <v>89</v>
      </c>
    </row>
    <row r="9" spans="1:3">
      <c r="A9" s="5" t="s">
        <v>90</v>
      </c>
    </row>
    <row r="10" spans="1:3">
      <c r="A10" s="5" t="s">
        <v>91</v>
      </c>
    </row>
    <row r="11" spans="1:3">
      <c r="A11" s="5" t="s">
        <v>92</v>
      </c>
    </row>
    <row r="12" spans="1:3" ht="30">
      <c r="A12" s="5" t="s">
        <v>93</v>
      </c>
    </row>
    <row r="13" spans="1:3" ht="30">
      <c r="A13" s="5" t="s">
        <v>94</v>
      </c>
    </row>
  </sheetData>
  <sheetProtection algorithmName="SHA-512" hashValue="1NGFy2/W1f76vueb0NuWGw/0QtkBB0NAqzQV/hfUPiUzj0EdOidhpIUgT2M819yBUsC1PDn1zQa7rKBeqSCvLQ==" saltValue="5XE/5EJKJUzrKIWv1UpebA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A53815BE2394698D98ABE051B508D" ma:contentTypeVersion="13" ma:contentTypeDescription="Create a new document." ma:contentTypeScope="" ma:versionID="5bdc1e372293a5d3d09e756375029886">
  <xsd:schema xmlns:xsd="http://www.w3.org/2001/XMLSchema" xmlns:xs="http://www.w3.org/2001/XMLSchema" xmlns:p="http://schemas.microsoft.com/office/2006/metadata/properties" xmlns:ns2="640eb33f-779e-4b64-9a85-d472a13c20f0" xmlns:ns3="b7c54aaf-5f1c-41f8-b4c1-8bd73100d876" targetNamespace="http://schemas.microsoft.com/office/2006/metadata/properties" ma:root="true" ma:fieldsID="372fec3bc51429fbc43709e01609bac9" ns2:_="" ns3:_="">
    <xsd:import namespace="640eb33f-779e-4b64-9a85-d472a13c20f0"/>
    <xsd:import namespace="b7c54aaf-5f1c-41f8-b4c1-8bd73100d8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urrent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eb33f-779e-4b64-9a85-d472a13c2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urrent" ma:index="12" nillable="true" ma:displayName="Current" ma:default="1" ma:format="Dropdown" ma:internalName="Current">
      <xsd:simpleType>
        <xsd:restriction base="dms:Boolea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54aaf-5f1c-41f8-b4c1-8bd73100d87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0d97751-2b66-4ac4-9c0a-f4def12724f1}" ma:internalName="TaxCatchAll" ma:showField="CatchAllData" ma:web="b7c54aaf-5f1c-41f8-b4c1-8bd73100d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 xmlns="640eb33f-779e-4b64-9a85-d472a13c20f0">true</Current>
    <TaxCatchAll xmlns="b7c54aaf-5f1c-41f8-b4c1-8bd73100d876" xsi:nil="true"/>
    <lcf76f155ced4ddcb4097134ff3c332f xmlns="640eb33f-779e-4b64-9a85-d472a13c20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CB6115-E344-448A-9176-358BC4061850}"/>
</file>

<file path=customXml/itemProps2.xml><?xml version="1.0" encoding="utf-8"?>
<ds:datastoreItem xmlns:ds="http://schemas.openxmlformats.org/officeDocument/2006/customXml" ds:itemID="{D6EF54DC-CBDC-4A49-BA21-F997EA73CA13}"/>
</file>

<file path=customXml/itemProps3.xml><?xml version="1.0" encoding="utf-8"?>
<ds:datastoreItem xmlns:ds="http://schemas.openxmlformats.org/officeDocument/2006/customXml" ds:itemID="{C71E3DCB-B78B-411A-8E63-B6A2DB1FF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PacifiCorp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Lundmark, Clint</dc:creator>
  <cp:keywords/>
  <dc:description/>
  <cp:lastModifiedBy/>
  <cp:revision/>
  <dcterms:created xsi:type="dcterms:W3CDTF">2019-07-20T00:06:10Z</dcterms:created>
  <dcterms:modified xsi:type="dcterms:W3CDTF">2026-08-18T19:55:36Z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0x010100CC8A53815BE2394698D98ABE051B508D</vt:lpwstr>
  </property>
  <property fmtid="{D5CDD505-2E9C-101B-9397-08002B2CF9AE}" pid="3" name="MediaServiceImageTags">
    <vt:lpwstr/>
  </property>
</Properties>
</file>